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valor contract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U11" i="4"/>
  <c r="T11"/>
  <c r="S11"/>
  <c r="Q11"/>
  <c r="P11"/>
  <c r="N11"/>
  <c r="J11"/>
  <c r="U10"/>
  <c r="T10"/>
  <c r="S10"/>
  <c r="Q10"/>
  <c r="P10"/>
  <c r="R10" s="1"/>
  <c r="N10"/>
  <c r="J10"/>
  <c r="U9"/>
  <c r="T9"/>
  <c r="S9"/>
  <c r="Q9"/>
  <c r="P9"/>
  <c r="N9"/>
  <c r="J9"/>
  <c r="V8"/>
  <c r="U8"/>
  <c r="T8"/>
  <c r="S8"/>
  <c r="R8"/>
  <c r="Q8"/>
  <c r="P8"/>
  <c r="N8"/>
  <c r="J8"/>
  <c r="W8" s="1"/>
  <c r="U7"/>
  <c r="T7"/>
  <c r="S7"/>
  <c r="R7"/>
  <c r="M7"/>
  <c r="L7"/>
  <c r="K7"/>
  <c r="I7"/>
  <c r="H7"/>
  <c r="G7"/>
  <c r="U6"/>
  <c r="T6"/>
  <c r="S6"/>
  <c r="Q6"/>
  <c r="R6" s="1"/>
  <c r="P6"/>
  <c r="N6"/>
  <c r="J6"/>
  <c r="U5"/>
  <c r="T5"/>
  <c r="R5"/>
  <c r="N5"/>
  <c r="J5"/>
  <c r="U4"/>
  <c r="T4"/>
  <c r="S4"/>
  <c r="Q4"/>
  <c r="P4"/>
  <c r="M4"/>
  <c r="M12" s="1"/>
  <c r="L4"/>
  <c r="K4"/>
  <c r="K12" s="1"/>
  <c r="I4"/>
  <c r="H4"/>
  <c r="J4" s="1"/>
  <c r="U3"/>
  <c r="T3"/>
  <c r="V3" s="1"/>
  <c r="S3"/>
  <c r="Q3"/>
  <c r="P3"/>
  <c r="N3"/>
  <c r="J3"/>
  <c r="U2"/>
  <c r="T2"/>
  <c r="S2"/>
  <c r="O2"/>
  <c r="O12" s="1"/>
  <c r="N2"/>
  <c r="I2"/>
  <c r="H2"/>
  <c r="G2"/>
  <c r="G12" s="1"/>
  <c r="H12" l="1"/>
  <c r="R2"/>
  <c r="R4"/>
  <c r="R12" s="1"/>
  <c r="V10"/>
  <c r="W10" s="1"/>
  <c r="T12"/>
  <c r="R3"/>
  <c r="L12"/>
  <c r="V6"/>
  <c r="W6" s="1"/>
  <c r="Y6" s="1"/>
  <c r="I12"/>
  <c r="V2"/>
  <c r="V5"/>
  <c r="X5" s="1"/>
  <c r="R9"/>
  <c r="R11"/>
  <c r="W3"/>
  <c r="J7"/>
  <c r="W7" s="1"/>
  <c r="U12"/>
  <c r="Q12"/>
  <c r="N4"/>
  <c r="N12" s="1"/>
  <c r="V4"/>
  <c r="N7"/>
  <c r="V7"/>
  <c r="V9"/>
  <c r="W9" s="1"/>
  <c r="V11"/>
  <c r="W11" s="1"/>
  <c r="X11"/>
  <c r="W4"/>
  <c r="P12"/>
  <c r="J2"/>
  <c r="S12"/>
  <c r="X3"/>
  <c r="Y3" s="1"/>
  <c r="X6"/>
  <c r="X8"/>
  <c r="Y8" s="1"/>
  <c r="X9" l="1"/>
  <c r="Y11"/>
  <c r="X4"/>
  <c r="X10"/>
  <c r="Y10" s="1"/>
  <c r="W5"/>
  <c r="Y5" s="1"/>
  <c r="X7"/>
  <c r="Y4"/>
  <c r="Y7"/>
  <c r="V12"/>
  <c r="J12"/>
  <c r="W2"/>
  <c r="X2"/>
  <c r="Y9"/>
  <c r="X12" l="1"/>
  <c r="Y2"/>
  <c r="W12"/>
</calcChain>
</file>

<file path=xl/sharedStrings.xml><?xml version="1.0" encoding="utf-8"?>
<sst xmlns="http://schemas.openxmlformats.org/spreadsheetml/2006/main" count="81" uniqueCount="81">
  <si>
    <t>cod</t>
  </si>
  <si>
    <t>denumire</t>
  </si>
  <si>
    <t>reprezentant</t>
  </si>
  <si>
    <t>CUI</t>
  </si>
  <si>
    <t>adresa</t>
  </si>
  <si>
    <t>telefon</t>
  </si>
  <si>
    <t>ian</t>
  </si>
  <si>
    <t>feb</t>
  </si>
  <si>
    <t>martie</t>
  </si>
  <si>
    <t>trim I</t>
  </si>
  <si>
    <t>aprilie</t>
  </si>
  <si>
    <t>mai</t>
  </si>
  <si>
    <t>iunie.</t>
  </si>
  <si>
    <t>trim ii</t>
  </si>
  <si>
    <t>iul</t>
  </si>
  <si>
    <t>aug</t>
  </si>
  <si>
    <t>sep</t>
  </si>
  <si>
    <t>trim iii</t>
  </si>
  <si>
    <t>oct</t>
  </si>
  <si>
    <t>nov</t>
  </si>
  <si>
    <t>dec</t>
  </si>
  <si>
    <t>trim iv</t>
  </si>
  <si>
    <t>total contract</t>
  </si>
  <si>
    <t>CO004/2021</t>
  </si>
  <si>
    <t>S.C. SANADOR S.R.L.</t>
  </si>
  <si>
    <t>Andronescu Carmen</t>
  </si>
  <si>
    <t>12530000</t>
  </si>
  <si>
    <t>Str. Dr. Iacob Felix, nr. 32, sector 1, București</t>
  </si>
  <si>
    <t>021.9699, 021.206.34.10</t>
  </si>
  <si>
    <t>CO005/2021</t>
  </si>
  <si>
    <t>S.C. CLINICA MEDICALA HIPOCRAT 2000 S.R.L.</t>
  </si>
  <si>
    <t>Shekhel Nawshar</t>
  </si>
  <si>
    <t>8272361</t>
  </si>
  <si>
    <t>Bd.Chisinau, nr. 16, bl. M7, parter, sector 2, București</t>
  </si>
  <si>
    <t>021.255.51.78, 031.815.35.20</t>
  </si>
  <si>
    <t>CO008/2021</t>
  </si>
  <si>
    <t>S.C. AMBULANTA BGS MEDICAL UNIT SRL</t>
  </si>
  <si>
    <t>Sersea Eduard</t>
  </si>
  <si>
    <t>15207994</t>
  </si>
  <si>
    <t xml:space="preserve">Calea Vitan, nr. 293, sector 3, </t>
  </si>
  <si>
    <t>021.9505, 021.331.81.25</t>
  </si>
  <si>
    <t>CO011/2021</t>
  </si>
  <si>
    <t>S.C. PULS MEDICA S.A.</t>
  </si>
  <si>
    <t>Luca Adina</t>
  </si>
  <si>
    <t>6707206</t>
  </si>
  <si>
    <t xml:space="preserve">Intr. Spatarului, nr. 3, ap. 10, sector 2, </t>
  </si>
  <si>
    <t>0742.010.338</t>
  </si>
  <si>
    <t>CO009/2021</t>
  </si>
  <si>
    <t>S.C. CENTRUL MEDICAL NICOMED S.R.L.</t>
  </si>
  <si>
    <t>Radu Aurelia</t>
  </si>
  <si>
    <t>13478334</t>
  </si>
  <si>
    <t xml:space="preserve">Calea Grivitei, 198-200, sector 1, </t>
  </si>
  <si>
    <t>021.9399, 0731.338.520</t>
  </si>
  <si>
    <t>CO012/2021</t>
  </si>
  <si>
    <t>S.C. CENTRUL MEDICAL AKCES S.R.L.</t>
  </si>
  <si>
    <t>Spiridon Florina</t>
  </si>
  <si>
    <t>34270858</t>
  </si>
  <si>
    <t xml:space="preserve">Str. Alexandru Borneanu, nr. 2, bl. 2, ap. 3, sector 6, </t>
  </si>
  <si>
    <t>0743.105.333</t>
  </si>
  <si>
    <t>CO013/2021</t>
  </si>
  <si>
    <t>S.C. SAVIER MEDICAL S.R.L.</t>
  </si>
  <si>
    <t>Graban Iulian</t>
  </si>
  <si>
    <t>17072923</t>
  </si>
  <si>
    <t xml:space="preserve">Str. Brig. Tanase Dumitrescu, nr. 36, sector 2, </t>
  </si>
  <si>
    <t>021.365.75.73, 031.817.13.13</t>
  </si>
  <si>
    <t>CO014/2021</t>
  </si>
  <si>
    <t>S.C. MEDICAL EMERGENCY DIVISION S.R.L.</t>
  </si>
  <si>
    <t>Lomonar Roxana</t>
  </si>
  <si>
    <t>27316391</t>
  </si>
  <si>
    <t xml:space="preserve">Str. Fabrica de Caramida, nr. 14, sector 1, </t>
  </si>
  <si>
    <t>0254.226.622</t>
  </si>
  <si>
    <t>CO016/2021</t>
  </si>
  <si>
    <t>SC PRO MEDICARE SRL</t>
  </si>
  <si>
    <t>Paraschiv Alin George</t>
  </si>
  <si>
    <t>Bd. Energeticienilor, nr. 9E, bl. M1, et. 3, camera 1302, sector 3, București</t>
  </si>
  <si>
    <t>0727.189.066</t>
  </si>
  <si>
    <t>CO017/2021</t>
  </si>
  <si>
    <t>CRESTINA MEDICALA MUNPOSAN`94 SRL</t>
  </si>
  <si>
    <t>Manciu Tănase Ionuț</t>
  </si>
  <si>
    <t>Str. Witing, nr. 12, sector 1</t>
  </si>
  <si>
    <t>0752.111.555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</si>
</sst>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4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 wrapText="1"/>
    </xf>
    <xf numFmtId="164" fontId="0" fillId="2" borderId="1" xfId="1" applyFont="1" applyFill="1" applyBorder="1" applyAlignment="1">
      <alignment horizontal="center" wrapText="1"/>
    </xf>
    <xf numFmtId="164" fontId="0" fillId="2" borderId="1" xfId="1" applyFont="1" applyFill="1" applyBorder="1"/>
    <xf numFmtId="164" fontId="0" fillId="2" borderId="2" xfId="1" applyFont="1" applyFill="1" applyBorder="1"/>
    <xf numFmtId="164" fontId="0" fillId="2" borderId="2" xfId="1" applyFont="1" applyFill="1" applyBorder="1" applyAlignment="1">
      <alignment horizontal="center" wrapText="1"/>
    </xf>
    <xf numFmtId="0" fontId="0" fillId="2" borderId="0" xfId="0" applyFill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4" fontId="2" fillId="2" borderId="3" xfId="0" applyNumberFormat="1" applyFont="1" applyFill="1" applyBorder="1" applyAlignment="1">
      <alignment wrapText="1"/>
    </xf>
    <xf numFmtId="0" fontId="5" fillId="2" borderId="3" xfId="0" applyFont="1" applyFill="1" applyBorder="1"/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4" fontId="0" fillId="2" borderId="1" xfId="0" applyNumberFormat="1" applyFill="1" applyBorder="1"/>
    <xf numFmtId="164" fontId="0" fillId="2" borderId="0" xfId="0" applyNumberFormat="1" applyFill="1"/>
    <xf numFmtId="43" fontId="0" fillId="2" borderId="0" xfId="0" applyNumberForma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2" borderId="1" xfId="0" applyFont="1" applyFill="1" applyBorder="1"/>
    <xf numFmtId="4" fontId="3" fillId="2" borderId="1" xfId="1" applyNumberFormat="1" applyFont="1" applyFill="1" applyBorder="1"/>
    <xf numFmtId="0" fontId="0" fillId="2" borderId="0" xfId="0" applyFont="1" applyFill="1"/>
    <xf numFmtId="164" fontId="0" fillId="2" borderId="0" xfId="1" applyFont="1" applyFill="1"/>
    <xf numFmtId="4" fontId="0" fillId="2" borderId="0" xfId="0" applyNumberFormat="1" applyFill="1"/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"/>
  <sheetViews>
    <sheetView tabSelected="1" zoomScale="82" zoomScaleNormal="82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L6" sqref="L6"/>
    </sheetView>
  </sheetViews>
  <sheetFormatPr defaultRowHeight="15"/>
  <cols>
    <col min="1" max="1" width="19.7109375" style="36" customWidth="1"/>
    <col min="2" max="2" width="53" style="36" customWidth="1"/>
    <col min="3" max="3" width="29.7109375" style="36" hidden="1" customWidth="1"/>
    <col min="4" max="4" width="14.5703125" style="36" hidden="1" customWidth="1"/>
    <col min="5" max="5" width="20" style="36" hidden="1" customWidth="1"/>
    <col min="6" max="6" width="10.42578125" style="36" hidden="1" customWidth="1"/>
    <col min="7" max="11" width="12.85546875" style="37" customWidth="1"/>
    <col min="12" max="12" width="11.7109375" style="37" customWidth="1"/>
    <col min="13" max="14" width="12.140625" style="10" customWidth="1"/>
    <col min="15" max="15" width="20.7109375" style="37" customWidth="1"/>
    <col min="16" max="16" width="20" style="37" customWidth="1"/>
    <col min="17" max="17" width="12.140625" style="37" customWidth="1"/>
    <col min="18" max="18" width="16.5703125" style="37" customWidth="1"/>
    <col min="19" max="19" width="12" style="37" bestFit="1" customWidth="1"/>
    <col min="20" max="20" width="13.5703125" style="37" customWidth="1"/>
    <col min="21" max="21" width="12" style="10" bestFit="1" customWidth="1"/>
    <col min="22" max="22" width="18.42578125" style="10" customWidth="1"/>
    <col min="23" max="23" width="18.140625" style="10" customWidth="1"/>
    <col min="24" max="24" width="13.5703125" style="10" hidden="1" customWidth="1"/>
    <col min="25" max="25" width="14.7109375" style="10" hidden="1" customWidth="1"/>
    <col min="26" max="26" width="19.42578125" style="10" customWidth="1"/>
    <col min="27" max="16384" width="9.140625" style="10"/>
  </cols>
  <sheetData>
    <row r="1" spans="1:26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8" t="s">
        <v>21</v>
      </c>
      <c r="W1" s="9" t="s">
        <v>22</v>
      </c>
    </row>
    <row r="2" spans="1:26" ht="60">
      <c r="A2" s="11" t="s">
        <v>23</v>
      </c>
      <c r="B2" s="12" t="s">
        <v>24</v>
      </c>
      <c r="C2" s="13" t="s">
        <v>25</v>
      </c>
      <c r="D2" s="14" t="s">
        <v>26</v>
      </c>
      <c r="E2" s="15" t="s">
        <v>27</v>
      </c>
      <c r="F2" s="16" t="s">
        <v>28</v>
      </c>
      <c r="G2" s="7">
        <f>76349.21-56870.61</f>
        <v>19478.600000000006</v>
      </c>
      <c r="H2" s="7">
        <f>77580.6-65393.3</f>
        <v>12187.300000000003</v>
      </c>
      <c r="I2" s="7">
        <f>112380.95-92354.27</f>
        <v>20026.679999999993</v>
      </c>
      <c r="J2" s="7">
        <f>+G2+H2+I2</f>
        <v>51692.58</v>
      </c>
      <c r="K2" s="7">
        <v>19252.96</v>
      </c>
      <c r="L2" s="7">
        <v>12234.28</v>
      </c>
      <c r="M2" s="7">
        <v>20125.059999999998</v>
      </c>
      <c r="N2" s="7">
        <f>+K2+L2+M2</f>
        <v>51612.299999999996</v>
      </c>
      <c r="O2" s="7">
        <f>76349.21+20000</f>
        <v>96349.21</v>
      </c>
      <c r="P2" s="7">
        <v>155066.88</v>
      </c>
      <c r="Q2" s="7">
        <v>155066.87</v>
      </c>
      <c r="R2" s="7">
        <f t="shared" ref="R2:R11" si="0">+O2+P2+Q2</f>
        <v>406482.96</v>
      </c>
      <c r="S2" s="7">
        <f>76349.21+46089.65</f>
        <v>122438.86000000002</v>
      </c>
      <c r="T2" s="7">
        <f>76000+46438.86</f>
        <v>122438.86</v>
      </c>
      <c r="U2" s="7">
        <f>349.18+122089.67</f>
        <v>122438.84999999999</v>
      </c>
      <c r="V2" s="7">
        <f>+S2+T2+U2</f>
        <v>367316.57</v>
      </c>
      <c r="W2" s="17">
        <f>+J2+N2+R2+V2</f>
        <v>877104.41</v>
      </c>
      <c r="X2" s="18">
        <f>+J2+N2+R2+V2</f>
        <v>877104.41</v>
      </c>
      <c r="Y2" s="19">
        <f>+W2-X2</f>
        <v>0</v>
      </c>
    </row>
    <row r="3" spans="1:26" ht="60">
      <c r="A3" s="20" t="s">
        <v>29</v>
      </c>
      <c r="B3" s="21" t="s">
        <v>30</v>
      </c>
      <c r="C3" s="1" t="s">
        <v>31</v>
      </c>
      <c r="D3" s="22" t="s">
        <v>32</v>
      </c>
      <c r="E3" s="23" t="s">
        <v>33</v>
      </c>
      <c r="F3" s="24" t="s">
        <v>34</v>
      </c>
      <c r="G3" s="7">
        <v>91619.05</v>
      </c>
      <c r="H3" s="7">
        <v>93096.77</v>
      </c>
      <c r="I3" s="7">
        <v>134857.14000000001</v>
      </c>
      <c r="J3" s="7">
        <f t="shared" ref="J3" si="1">+G3+H3+I3</f>
        <v>319572.96000000002</v>
      </c>
      <c r="K3" s="7">
        <v>91619.05</v>
      </c>
      <c r="L3" s="7">
        <v>91619.05</v>
      </c>
      <c r="M3" s="7">
        <v>91619.05</v>
      </c>
      <c r="N3" s="7">
        <f t="shared" ref="N3:N4" si="2">+K3+L3+M3</f>
        <v>274857.15000000002</v>
      </c>
      <c r="O3" s="7">
        <v>91619.05</v>
      </c>
      <c r="P3" s="7">
        <f>91619.05+90690.5</f>
        <v>182309.55</v>
      </c>
      <c r="Q3" s="7">
        <f>91619.05+90690.5</f>
        <v>182309.55</v>
      </c>
      <c r="R3" s="7">
        <f t="shared" si="0"/>
        <v>456238.14999999997</v>
      </c>
      <c r="S3" s="7">
        <f>619.03+181690.52</f>
        <v>182309.55</v>
      </c>
      <c r="T3" s="7">
        <f>619.03+181690.52</f>
        <v>182309.55</v>
      </c>
      <c r="U3" s="7">
        <f>619.03+66625.94</f>
        <v>67244.97</v>
      </c>
      <c r="V3" s="7">
        <f t="shared" ref="V3:V11" si="3">+S3+T3+U3</f>
        <v>431864.06999999995</v>
      </c>
      <c r="W3" s="17">
        <f t="shared" ref="W3:W11" si="4">+J3+N3+R3+V3</f>
        <v>1482532.33</v>
      </c>
      <c r="X3" s="18">
        <f t="shared" ref="X3:X11" si="5">+J3+N3+R3+V3</f>
        <v>1482532.33</v>
      </c>
      <c r="Y3" s="19">
        <f t="shared" ref="Y3:Y11" si="6">+W3-X3</f>
        <v>0</v>
      </c>
    </row>
    <row r="4" spans="1:26" ht="60">
      <c r="A4" s="11" t="s">
        <v>35</v>
      </c>
      <c r="B4" s="21" t="s">
        <v>36</v>
      </c>
      <c r="C4" s="1" t="s">
        <v>37</v>
      </c>
      <c r="D4" s="22" t="s">
        <v>38</v>
      </c>
      <c r="E4" s="25" t="s">
        <v>39</v>
      </c>
      <c r="F4" s="24" t="s">
        <v>40</v>
      </c>
      <c r="G4" s="7">
        <v>76349.210000000006</v>
      </c>
      <c r="H4" s="7">
        <f>77580.65-5468.35</f>
        <v>72112.299999999988</v>
      </c>
      <c r="I4" s="7">
        <f>112380.95-23848.87</f>
        <v>88532.08</v>
      </c>
      <c r="J4" s="7">
        <f>+G4+H4+I4</f>
        <v>236993.59000000003</v>
      </c>
      <c r="K4" s="7">
        <f>76349.21-25075.83</f>
        <v>51273.380000000005</v>
      </c>
      <c r="L4" s="7">
        <f>76349.21-34470.85</f>
        <v>41878.360000000008</v>
      </c>
      <c r="M4" s="7">
        <f>76349.21-26347.99</f>
        <v>50001.22</v>
      </c>
      <c r="N4" s="7">
        <f t="shared" si="2"/>
        <v>143152.96000000002</v>
      </c>
      <c r="O4" s="7">
        <v>76349.210000000006</v>
      </c>
      <c r="P4" s="7">
        <f>76349.21+75825.43</f>
        <v>152174.64000000001</v>
      </c>
      <c r="Q4" s="7">
        <f>76349.21+75825.42</f>
        <v>152174.63</v>
      </c>
      <c r="R4" s="7">
        <f t="shared" si="0"/>
        <v>380698.48000000004</v>
      </c>
      <c r="S4" s="7">
        <f>349.18+38403.97</f>
        <v>38753.15</v>
      </c>
      <c r="T4" s="7">
        <f>349.18+38403.97</f>
        <v>38753.15</v>
      </c>
      <c r="U4" s="7">
        <f>349.18+38403.95</f>
        <v>38753.129999999997</v>
      </c>
      <c r="V4" s="7">
        <f t="shared" si="3"/>
        <v>116259.43</v>
      </c>
      <c r="W4" s="17">
        <f t="shared" si="4"/>
        <v>877104.46</v>
      </c>
      <c r="X4" s="18">
        <f t="shared" si="5"/>
        <v>877104.46</v>
      </c>
      <c r="Y4" s="19">
        <f t="shared" si="6"/>
        <v>0</v>
      </c>
    </row>
    <row r="5" spans="1:26" ht="30">
      <c r="A5" s="20" t="s">
        <v>41</v>
      </c>
      <c r="B5" s="21" t="s">
        <v>42</v>
      </c>
      <c r="C5" s="1" t="s">
        <v>43</v>
      </c>
      <c r="D5" s="22" t="s">
        <v>44</v>
      </c>
      <c r="E5" s="23" t="s">
        <v>45</v>
      </c>
      <c r="F5" s="24" t="s">
        <v>46</v>
      </c>
      <c r="G5" s="7">
        <v>106888.89</v>
      </c>
      <c r="H5" s="7">
        <v>108612.9</v>
      </c>
      <c r="I5" s="7">
        <v>157333.32999999999</v>
      </c>
      <c r="J5" s="7">
        <f>+G5+H5+I5</f>
        <v>372835.12</v>
      </c>
      <c r="K5" s="7">
        <v>106888.89</v>
      </c>
      <c r="L5" s="7">
        <v>106888.89</v>
      </c>
      <c r="M5" s="7">
        <v>106888.89</v>
      </c>
      <c r="N5" s="7">
        <f>+K5+L5+M5</f>
        <v>320666.67</v>
      </c>
      <c r="O5" s="7">
        <v>106888.89</v>
      </c>
      <c r="P5" s="7">
        <v>106888.89</v>
      </c>
      <c r="Q5" s="7">
        <v>106888.89</v>
      </c>
      <c r="R5" s="7">
        <f t="shared" si="0"/>
        <v>320666.67</v>
      </c>
      <c r="S5" s="7">
        <v>106888.89</v>
      </c>
      <c r="T5" s="7">
        <f>106000+888.89</f>
        <v>106888.89</v>
      </c>
      <c r="U5" s="7">
        <f>888.88+251226.09</f>
        <v>252114.97</v>
      </c>
      <c r="V5" s="7">
        <f t="shared" si="3"/>
        <v>465892.75</v>
      </c>
      <c r="W5" s="17">
        <f t="shared" si="4"/>
        <v>1480061.21</v>
      </c>
      <c r="X5" s="18">
        <f t="shared" si="5"/>
        <v>1480061.21</v>
      </c>
      <c r="Y5" s="19">
        <f t="shared" si="6"/>
        <v>0</v>
      </c>
    </row>
    <row r="6" spans="1:26" ht="60">
      <c r="A6" s="11" t="s">
        <v>47</v>
      </c>
      <c r="B6" s="21" t="s">
        <v>48</v>
      </c>
      <c r="C6" s="1" t="s">
        <v>49</v>
      </c>
      <c r="D6" s="22" t="s">
        <v>50</v>
      </c>
      <c r="E6" s="23" t="s">
        <v>51</v>
      </c>
      <c r="F6" s="24" t="s">
        <v>52</v>
      </c>
      <c r="G6" s="7">
        <v>137428.57</v>
      </c>
      <c r="H6" s="7">
        <v>124129.03</v>
      </c>
      <c r="I6" s="7">
        <v>202285.71</v>
      </c>
      <c r="J6" s="7">
        <f t="shared" ref="J6:J11" si="7">+G6+H6+I6</f>
        <v>463843.31</v>
      </c>
      <c r="K6" s="7">
        <v>137428.57</v>
      </c>
      <c r="L6" s="7">
        <v>137428.57</v>
      </c>
      <c r="M6" s="7">
        <v>137428.57</v>
      </c>
      <c r="N6" s="7">
        <f t="shared" ref="N6:N11" si="8">+K6+L6+M6</f>
        <v>412285.71</v>
      </c>
      <c r="O6" s="7">
        <v>137428.57</v>
      </c>
      <c r="P6" s="7">
        <f>137428.57+136785.71</f>
        <v>274214.28000000003</v>
      </c>
      <c r="Q6" s="7">
        <f>137428.57+136785.7</f>
        <v>274214.27</v>
      </c>
      <c r="R6" s="7">
        <f t="shared" si="0"/>
        <v>685857.12000000011</v>
      </c>
      <c r="S6" s="7">
        <f>428.58+273785.7</f>
        <v>274214.28000000003</v>
      </c>
      <c r="T6" s="7">
        <f>428.58+273785.7</f>
        <v>274214.28000000003</v>
      </c>
      <c r="U6" s="7">
        <f>428.58+99207.97</f>
        <v>99636.55</v>
      </c>
      <c r="V6" s="7">
        <f>+S6+T6+U6</f>
        <v>648065.1100000001</v>
      </c>
      <c r="W6" s="17">
        <f t="shared" si="4"/>
        <v>2210051.25</v>
      </c>
      <c r="X6" s="18">
        <f t="shared" si="5"/>
        <v>2210051.25</v>
      </c>
      <c r="Y6" s="19">
        <f t="shared" si="6"/>
        <v>0</v>
      </c>
    </row>
    <row r="7" spans="1:26" ht="30">
      <c r="A7" s="11" t="s">
        <v>53</v>
      </c>
      <c r="B7" s="21" t="s">
        <v>54</v>
      </c>
      <c r="C7" s="1" t="s">
        <v>55</v>
      </c>
      <c r="D7" s="22" t="s">
        <v>56</v>
      </c>
      <c r="E7" s="23" t="s">
        <v>57</v>
      </c>
      <c r="F7" s="26" t="s">
        <v>58</v>
      </c>
      <c r="G7" s="7">
        <f>183238.1-749.9</f>
        <v>182488.2</v>
      </c>
      <c r="H7" s="7">
        <f>186193.55-2965.85</f>
        <v>183227.69999999998</v>
      </c>
      <c r="I7" s="7">
        <f>269714.29-85986.87</f>
        <v>183727.41999999998</v>
      </c>
      <c r="J7" s="7">
        <f t="shared" si="7"/>
        <v>549443.32000000007</v>
      </c>
      <c r="K7" s="7">
        <f>183238.1-89068.6</f>
        <v>94169.5</v>
      </c>
      <c r="L7" s="7">
        <f>183238.1-99486.08</f>
        <v>83752.02</v>
      </c>
      <c r="M7" s="7">
        <f>183238.1-98841.58</f>
        <v>84396.52</v>
      </c>
      <c r="N7" s="7">
        <f>+K7+L7+M7</f>
        <v>262318.04000000004</v>
      </c>
      <c r="O7" s="7">
        <v>183238.1</v>
      </c>
      <c r="P7" s="7">
        <v>183238.1</v>
      </c>
      <c r="Q7" s="7">
        <v>183238.1</v>
      </c>
      <c r="R7" s="7">
        <f t="shared" si="0"/>
        <v>549714.30000000005</v>
      </c>
      <c r="S7" s="7">
        <f>183238.1+64620.25</f>
        <v>247858.35</v>
      </c>
      <c r="T7" s="7">
        <f>183000+64858.35</f>
        <v>247858.35</v>
      </c>
      <c r="U7" s="7">
        <f>238.07+247620.28</f>
        <v>247858.35</v>
      </c>
      <c r="V7" s="7">
        <f t="shared" si="3"/>
        <v>743575.05</v>
      </c>
      <c r="W7" s="17">
        <f t="shared" si="4"/>
        <v>2105050.71</v>
      </c>
      <c r="X7" s="18">
        <f t="shared" si="5"/>
        <v>2105050.71</v>
      </c>
      <c r="Y7" s="19">
        <f t="shared" si="6"/>
        <v>0</v>
      </c>
      <c r="Z7" s="19"/>
    </row>
    <row r="8" spans="1:26" ht="60">
      <c r="A8" s="11" t="s">
        <v>59</v>
      </c>
      <c r="B8" s="21" t="s">
        <v>60</v>
      </c>
      <c r="C8" s="1" t="s">
        <v>61</v>
      </c>
      <c r="D8" s="22" t="s">
        <v>62</v>
      </c>
      <c r="E8" s="23" t="s">
        <v>63</v>
      </c>
      <c r="F8" s="26" t="s">
        <v>64</v>
      </c>
      <c r="G8" s="7">
        <v>45809.52</v>
      </c>
      <c r="H8" s="7">
        <v>46548.39</v>
      </c>
      <c r="I8" s="7">
        <v>67428.570000000007</v>
      </c>
      <c r="J8" s="7">
        <f t="shared" si="7"/>
        <v>159786.48000000001</v>
      </c>
      <c r="K8" s="7">
        <v>45809.52</v>
      </c>
      <c r="L8" s="7">
        <v>45809.52</v>
      </c>
      <c r="M8" s="7">
        <v>45809.52</v>
      </c>
      <c r="N8" s="7">
        <f t="shared" si="8"/>
        <v>137428.56</v>
      </c>
      <c r="O8" s="7">
        <v>45809.52</v>
      </c>
      <c r="P8" s="7">
        <f>45809.52+44595.21</f>
        <v>90404.73</v>
      </c>
      <c r="Q8" s="7">
        <f>45809.52+44595.21</f>
        <v>90404.73</v>
      </c>
      <c r="R8" s="7">
        <f t="shared" si="0"/>
        <v>226618.97999999998</v>
      </c>
      <c r="S8" s="7">
        <f>809.55+89595.18</f>
        <v>90404.73</v>
      </c>
      <c r="T8" s="7">
        <f>809.55+89595.18</f>
        <v>90404.73</v>
      </c>
      <c r="U8" s="7">
        <f>809.55+34044.03</f>
        <v>34853.58</v>
      </c>
      <c r="V8" s="7">
        <f t="shared" si="3"/>
        <v>215663.03999999998</v>
      </c>
      <c r="W8" s="17">
        <f t="shared" si="4"/>
        <v>739497.06</v>
      </c>
      <c r="X8" s="18">
        <f t="shared" si="5"/>
        <v>739497.06</v>
      </c>
      <c r="Y8" s="19">
        <f t="shared" si="6"/>
        <v>0</v>
      </c>
      <c r="Z8" s="18"/>
    </row>
    <row r="9" spans="1:26" ht="30">
      <c r="A9" s="20" t="s">
        <v>65</v>
      </c>
      <c r="B9" s="21" t="s">
        <v>66</v>
      </c>
      <c r="C9" s="1" t="s">
        <v>67</v>
      </c>
      <c r="D9" s="22" t="s">
        <v>68</v>
      </c>
      <c r="E9" s="23" t="s">
        <v>69</v>
      </c>
      <c r="F9" s="27" t="s">
        <v>70</v>
      </c>
      <c r="G9" s="7">
        <v>122158.73</v>
      </c>
      <c r="H9" s="7">
        <v>124129.03</v>
      </c>
      <c r="I9" s="7">
        <v>179809.52</v>
      </c>
      <c r="J9" s="7">
        <f t="shared" si="7"/>
        <v>426097.28</v>
      </c>
      <c r="K9" s="7">
        <v>122158.73</v>
      </c>
      <c r="L9" s="7">
        <v>122158.73</v>
      </c>
      <c r="M9" s="7">
        <v>122158.73</v>
      </c>
      <c r="N9" s="7">
        <f t="shared" si="8"/>
        <v>366476.19</v>
      </c>
      <c r="O9" s="7">
        <v>122158.73</v>
      </c>
      <c r="P9" s="7">
        <f>122158.73+121920.64</f>
        <v>244079.37</v>
      </c>
      <c r="Q9" s="7">
        <f>122158.73+121920.63</f>
        <v>244079.35999999999</v>
      </c>
      <c r="R9" s="7">
        <f t="shared" si="0"/>
        <v>610317.46</v>
      </c>
      <c r="S9" s="7">
        <f>158.73+243920.64</f>
        <v>244079.37000000002</v>
      </c>
      <c r="T9" s="7">
        <f>158.73+243920.64</f>
        <v>244079.37000000002</v>
      </c>
      <c r="U9" s="7">
        <f>158.73+87859.96</f>
        <v>88018.69</v>
      </c>
      <c r="V9" s="7">
        <f t="shared" si="3"/>
        <v>576177.43000000005</v>
      </c>
      <c r="W9" s="17">
        <f t="shared" si="4"/>
        <v>1979068.3599999999</v>
      </c>
      <c r="X9" s="18">
        <f t="shared" si="5"/>
        <v>1979068.3599999999</v>
      </c>
      <c r="Y9" s="19">
        <f t="shared" si="6"/>
        <v>0</v>
      </c>
    </row>
    <row r="10" spans="1:26" ht="30">
      <c r="A10" s="11" t="s">
        <v>71</v>
      </c>
      <c r="B10" s="28" t="s">
        <v>72</v>
      </c>
      <c r="C10" s="29" t="s">
        <v>73</v>
      </c>
      <c r="D10" s="30">
        <v>38790705</v>
      </c>
      <c r="E10" s="31" t="s">
        <v>74</v>
      </c>
      <c r="F10" s="27" t="s">
        <v>75</v>
      </c>
      <c r="G10" s="7">
        <v>30539.68</v>
      </c>
      <c r="H10" s="7">
        <v>31032.26</v>
      </c>
      <c r="I10" s="7">
        <v>44952.38</v>
      </c>
      <c r="J10" s="7">
        <f t="shared" si="7"/>
        <v>106524.32</v>
      </c>
      <c r="K10" s="7">
        <v>30539.68</v>
      </c>
      <c r="L10" s="7">
        <v>30539.68</v>
      </c>
      <c r="M10" s="7">
        <v>30539.68</v>
      </c>
      <c r="N10" s="7">
        <f t="shared" si="8"/>
        <v>91619.040000000008</v>
      </c>
      <c r="O10" s="7">
        <v>30539.68</v>
      </c>
      <c r="P10" s="7">
        <f>30539.68+29730.14</f>
        <v>60269.82</v>
      </c>
      <c r="Q10" s="7">
        <f>30539.68+29730.14</f>
        <v>60269.82</v>
      </c>
      <c r="R10" s="7">
        <f t="shared" si="0"/>
        <v>151079.32</v>
      </c>
      <c r="S10" s="7">
        <f>539.7+59730.12</f>
        <v>60269.82</v>
      </c>
      <c r="T10" s="7">
        <f>539.7+59730.12</f>
        <v>60269.82</v>
      </c>
      <c r="U10" s="7">
        <f>539.7+22696.02</f>
        <v>23235.72</v>
      </c>
      <c r="V10" s="7">
        <f t="shared" si="3"/>
        <v>143775.35999999999</v>
      </c>
      <c r="W10" s="17">
        <f t="shared" si="4"/>
        <v>492998.04000000004</v>
      </c>
      <c r="X10" s="18">
        <f t="shared" si="5"/>
        <v>492998.04000000004</v>
      </c>
      <c r="Y10" s="19">
        <f t="shared" si="6"/>
        <v>0</v>
      </c>
    </row>
    <row r="11" spans="1:26" ht="15.75">
      <c r="A11" s="20" t="s">
        <v>76</v>
      </c>
      <c r="B11" s="21" t="s">
        <v>77</v>
      </c>
      <c r="C11" s="21" t="s">
        <v>78</v>
      </c>
      <c r="D11" s="32">
        <v>5854268</v>
      </c>
      <c r="E11" s="22" t="s">
        <v>79</v>
      </c>
      <c r="F11" s="22" t="s">
        <v>80</v>
      </c>
      <c r="G11" s="7">
        <v>91619.040000000008</v>
      </c>
      <c r="H11" s="7">
        <v>93096.82</v>
      </c>
      <c r="I11" s="7">
        <v>134857.16</v>
      </c>
      <c r="J11" s="7">
        <f t="shared" si="7"/>
        <v>319573.02</v>
      </c>
      <c r="K11" s="7">
        <v>91619.040000000008</v>
      </c>
      <c r="L11" s="7">
        <v>91619.040000000008</v>
      </c>
      <c r="M11" s="7">
        <v>91619.040000000008</v>
      </c>
      <c r="N11" s="7">
        <f t="shared" si="8"/>
        <v>274857.12</v>
      </c>
      <c r="O11" s="7">
        <v>91619.040000000008</v>
      </c>
      <c r="P11" s="7">
        <f>91619.04+90690.42</f>
        <v>182309.46</v>
      </c>
      <c r="Q11" s="7">
        <f>91619.04+90690.42</f>
        <v>182309.46</v>
      </c>
      <c r="R11" s="7">
        <f t="shared" si="0"/>
        <v>456237.95999999996</v>
      </c>
      <c r="S11" s="7">
        <f>181690.36+619.1</f>
        <v>182309.46</v>
      </c>
      <c r="T11" s="7">
        <f>181690.36+619.1</f>
        <v>182309.46</v>
      </c>
      <c r="U11" s="7">
        <f>619.1+66626.05</f>
        <v>67245.150000000009</v>
      </c>
      <c r="V11" s="7">
        <f t="shared" si="3"/>
        <v>431864.07</v>
      </c>
      <c r="W11" s="17">
        <f t="shared" si="4"/>
        <v>1482532.1700000002</v>
      </c>
      <c r="X11" s="18">
        <f t="shared" si="5"/>
        <v>1482532.1700000002</v>
      </c>
      <c r="Y11" s="19">
        <f t="shared" si="6"/>
        <v>0</v>
      </c>
    </row>
    <row r="12" spans="1:26">
      <c r="A12" s="33"/>
      <c r="B12" s="33"/>
      <c r="C12" s="33"/>
      <c r="D12" s="33"/>
      <c r="E12" s="33"/>
      <c r="F12" s="34"/>
      <c r="G12" s="35">
        <f t="shared" ref="G12:R12" si="9">SUM(G2:G11)</f>
        <v>904379.49000000011</v>
      </c>
      <c r="H12" s="35">
        <f t="shared" si="9"/>
        <v>888172.5</v>
      </c>
      <c r="I12" s="35">
        <f t="shared" si="9"/>
        <v>1213809.9899999998</v>
      </c>
      <c r="J12" s="35">
        <f t="shared" si="9"/>
        <v>3006361.9800000004</v>
      </c>
      <c r="K12" s="35">
        <f t="shared" si="9"/>
        <v>790759.32000000007</v>
      </c>
      <c r="L12" s="35">
        <f t="shared" si="9"/>
        <v>763928.14000000013</v>
      </c>
      <c r="M12" s="35">
        <f t="shared" si="9"/>
        <v>780586.28000000014</v>
      </c>
      <c r="N12" s="35">
        <f t="shared" si="9"/>
        <v>2335273.7400000002</v>
      </c>
      <c r="O12" s="35">
        <f t="shared" si="9"/>
        <v>982000.00000000012</v>
      </c>
      <c r="P12" s="35">
        <f>SUM(P2:P11)</f>
        <v>1630955.72</v>
      </c>
      <c r="Q12" s="35">
        <f t="shared" si="9"/>
        <v>1630955.68</v>
      </c>
      <c r="R12" s="35">
        <f t="shared" si="9"/>
        <v>4243911.3999999994</v>
      </c>
      <c r="S12" s="35">
        <f>SUM(S2:S11)</f>
        <v>1549526.4600000002</v>
      </c>
      <c r="T12" s="35">
        <f t="shared" ref="T12:U12" si="10">SUM(T2:T11)</f>
        <v>1549526.4600000002</v>
      </c>
      <c r="U12" s="35">
        <f t="shared" si="10"/>
        <v>1041399.9600000001</v>
      </c>
      <c r="V12" s="35">
        <f>SUM(V2:V11)</f>
        <v>4140452.88</v>
      </c>
      <c r="W12" s="35">
        <f>SUM(W2:W11)</f>
        <v>13726000.000000002</v>
      </c>
      <c r="X12" s="35">
        <f>SUM(X2:X11)</f>
        <v>13726000.000000002</v>
      </c>
    </row>
    <row r="14" spans="1:26">
      <c r="V14" s="38"/>
    </row>
    <row r="15" spans="1:26">
      <c r="W15" s="38"/>
    </row>
    <row r="16" spans="1:26">
      <c r="W16" s="38"/>
    </row>
    <row r="17" spans="23:23">
      <c r="W17" s="38"/>
    </row>
    <row r="18" spans="23:23">
      <c r="W18" s="38"/>
    </row>
  </sheetData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valor contract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2022-11-02T11:32:35Z</dcterms:modified>
</cp:coreProperties>
</file>